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" sheetId="6" r:id="rId6"/>
  </sheets>
  <definedNames>
    <definedName name="_xlnm.Print_Area" localSheetId="5">'січень'!$A$1:$R$87</definedName>
  </definedNames>
  <calcPr fullCalcOnLoad="1"/>
</workbook>
</file>

<file path=xl/sharedStrings.xml><?xml version="1.0" encoding="utf-8"?>
<sst xmlns="http://schemas.openxmlformats.org/spreadsheetml/2006/main" count="756" uniqueCount="166">
  <si>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</si>
  <si>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</si>
  <si>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</si>
  <si>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</si>
  <si>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</si>
  <si>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</si>
  <si>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</si>
  <si>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</si>
  <si>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</si>
  <si>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</si>
  <si>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</si>
  <si>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</si>
  <si>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</si>
  <si>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</si>
  <si>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</si>
  <si>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</si>
  <si>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</si>
  <si>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</si>
  <si>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</si>
  <si>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</si>
  <si>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</si>
  <si>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</si>
  <si>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</si>
  <si>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</si>
  <si>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</si>
  <si>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</si>
  <si>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</si>
  <si>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</si>
  <si>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</si>
  <si>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</si>
  <si>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</si>
  <si>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</si>
  <si>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</si>
  <si>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</si>
  <si>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</si>
  <si>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</si>
  <si>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</si>
  <si>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</si>
  <si>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</si>
  <si>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</si>
  <si>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</si>
  <si>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</si>
  <si>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</si>
  <si>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</si>
  <si>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</si>
  <si>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</si>
  <si>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</si>
  <si>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</si>
  <si>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</si>
  <si>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</si>
  <si>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</si>
  <si>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</si>
  <si>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</si>
  <si>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</si>
  <si>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</si>
  <si>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</si>
  <si>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</si>
  <si>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</si>
  <si>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</si>
  <si>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</si>
  <si>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</si>
  <si>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</si>
  <si>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</si>
  <si>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</si>
  <si>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</si>
  <si>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</si>
  <si>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</si>
  <si>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</si>
  <si>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</si>
  <si>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</si>
  <si>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</si>
  <si>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</si>
  <si>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</si>
  <si>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</si>
  <si>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</si>
  <si>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</si>
  <si>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</si>
  <si>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</si>
  <si>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</si>
  <si>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</si>
  <si>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</si>
  <si>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</si>
  <si>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</si>
  <si>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</si>
  <si>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</si>
  <si>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</si>
  <si>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</si>
  <si>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</si>
  <si>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</si>
  <si>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</si>
  <si>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</si>
  <si>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</si>
  <si>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</si>
  <si>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</si>
  <si>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</si>
  <si>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</si>
  <si>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</si>
  <si>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</si>
  <si>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</si>
  <si>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</si>
  <si>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</si>
  <si>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</si>
  <si>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</si>
  <si>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</si>
  <si>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</si>
  <si>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</si>
  <si>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</si>
  <si>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</si>
  <si>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</si>
  <si>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</si>
  <si>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</si>
  <si>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</si>
  <si>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</si>
  <si>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</si>
  <si>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</si>
  <si>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</si>
  <si>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</si>
  <si>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</si>
  <si>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</si>
  <si>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</si>
  <si>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</si>
  <si>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</si>
  <si>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</si>
  <si>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</si>
  <si>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</si>
  <si>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</si>
  <si>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</si>
  <si>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</si>
  <si>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</si>
  <si>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</si>
  <si>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</si>
  <si>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</si>
  <si>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</si>
  <si>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</si>
  <si>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</si>
  <si>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</si>
  <si>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</si>
  <si>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</si>
  <si>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</si>
  <si>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</si>
  <si>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</si>
  <si>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</si>
  <si>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</si>
  <si>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</si>
  <si>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</si>
  <si>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</si>
  <si>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</si>
  <si>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</si>
  <si>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</si>
  <si>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</si>
  <si>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</si>
  <si>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</si>
  <si>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</si>
  <si>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</si>
  <si>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</si>
  <si>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</si>
  <si>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</si>
  <si>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</si>
  <si>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05.05.2016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</si>
  <si>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</si>
  <si>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</si>
  <si>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</si>
  <si>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</si>
  <si>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</si>
  <si>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</si>
  <si>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04.05.16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</si>
</sst>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7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26" fillId="0" borderId="0">
      <alignment/>
      <protection/>
    </xf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5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6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7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8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8"/>
  <sheetViews>
    <sheetView tabSelected="1" zoomScale="87" zoomScaleNormal="8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9" sqref="D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9" t="s">
        <v>158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69" t="s">
        <v>163</v>
      </c>
      <c r="N3" s="270" t="s">
        <v>164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159</v>
      </c>
      <c r="F4" s="253" t="s">
        <v>34</v>
      </c>
      <c r="G4" s="247" t="s">
        <v>160</v>
      </c>
      <c r="H4" s="255" t="s">
        <v>161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165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8.7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162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337436.48</v>
      </c>
      <c r="F8" s="191">
        <f>F9+F15+F18+F19+F20+F32+F17</f>
        <v>296398.87999999995</v>
      </c>
      <c r="G8" s="191">
        <f aca="true" t="shared" si="0" ref="G8:G21">F8-E8</f>
        <v>-41037.600000000035</v>
      </c>
      <c r="H8" s="192">
        <f>F8/E8*100</f>
        <v>87.83842221208566</v>
      </c>
      <c r="I8" s="193">
        <f>F8-D8</f>
        <v>-544651.1200000001</v>
      </c>
      <c r="J8" s="193">
        <f>F8/D8*100</f>
        <v>35.241529041079595</v>
      </c>
      <c r="K8" s="191">
        <f>F8-198537.14</f>
        <v>97861.73999999993</v>
      </c>
      <c r="L8" s="191">
        <f>F8/198537.14*100</f>
        <v>149.29140210239754</v>
      </c>
      <c r="M8" s="191">
        <f>M9+M15+M18+M19+M20+M32+M17</f>
        <v>65761.8</v>
      </c>
      <c r="N8" s="191">
        <f>N9+N15+N18+N19+N20+N32+N17</f>
        <v>2268.2500000000327</v>
      </c>
      <c r="O8" s="191">
        <f>N8-M8</f>
        <v>-63493.549999999974</v>
      </c>
      <c r="P8" s="191">
        <f>N8/M8*100</f>
        <v>3.449190867646616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179402.27</v>
      </c>
      <c r="F9" s="196">
        <v>159216.7</v>
      </c>
      <c r="G9" s="190">
        <f t="shared" si="0"/>
        <v>-20185.569999999978</v>
      </c>
      <c r="H9" s="197">
        <f>F9/E9*100</f>
        <v>88.74843110959523</v>
      </c>
      <c r="I9" s="198">
        <f>F9-D9</f>
        <v>-300483.3</v>
      </c>
      <c r="J9" s="198">
        <f>F9/D9*100</f>
        <v>34.63491407439635</v>
      </c>
      <c r="K9" s="199">
        <f>F9-110765.65</f>
        <v>48451.05000000002</v>
      </c>
      <c r="L9" s="199">
        <f>F9/110765.65*100</f>
        <v>143.74194526913357</v>
      </c>
      <c r="M9" s="197">
        <f>E9-квітень!E9</f>
        <v>33619</v>
      </c>
      <c r="N9" s="200">
        <f>F9-квітень!F9</f>
        <v>1178.9000000000233</v>
      </c>
      <c r="O9" s="201">
        <f>N9-M9</f>
        <v>-32440.099999999977</v>
      </c>
      <c r="P9" s="198">
        <f>N9/M9*100</f>
        <v>3.5066480264137043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160645.84</v>
      </c>
      <c r="F10" s="171">
        <v>138917.01</v>
      </c>
      <c r="G10" s="109">
        <f t="shared" si="0"/>
        <v>-21728.829999999987</v>
      </c>
      <c r="H10" s="32">
        <f aca="true" t="shared" si="1" ref="H10:H31">F10/E10*100</f>
        <v>86.47407863160353</v>
      </c>
      <c r="I10" s="110">
        <f aca="true" t="shared" si="2" ref="I10:I32">F10-D10</f>
        <v>-272522.99</v>
      </c>
      <c r="J10" s="110">
        <f aca="true" t="shared" si="3" ref="J10:J31">F10/D10*100</f>
        <v>33.76361316352324</v>
      </c>
      <c r="K10" s="112">
        <f>F10-98351.31</f>
        <v>40565.70000000001</v>
      </c>
      <c r="L10" s="112">
        <f>F10/98351.31*100</f>
        <v>141.24571396151205</v>
      </c>
      <c r="M10" s="111">
        <f>E10-квітень!E10</f>
        <v>29729</v>
      </c>
      <c r="N10" s="179">
        <f>F10-квітень!F10</f>
        <v>1101.0200000000186</v>
      </c>
      <c r="O10" s="112">
        <f aca="true" t="shared" si="4" ref="O10:O32">N10-M10</f>
        <v>-28627.97999999998</v>
      </c>
      <c r="P10" s="42">
        <f aca="true" t="shared" si="5" ref="P10:P25">N10/M10*100</f>
        <v>3.703521813717309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10264.94</v>
      </c>
      <c r="F11" s="171">
        <v>11487.54</v>
      </c>
      <c r="G11" s="109">
        <f t="shared" si="0"/>
        <v>1222.6000000000004</v>
      </c>
      <c r="H11" s="32">
        <f t="shared" si="1"/>
        <v>111.91044467868298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E11-квітень!E11</f>
        <v>1630</v>
      </c>
      <c r="N11" s="179">
        <f>F11-квітень!F11</f>
        <v>0</v>
      </c>
      <c r="O11" s="112">
        <f t="shared" si="4"/>
        <v>-1630</v>
      </c>
      <c r="P11" s="42">
        <f t="shared" si="5"/>
        <v>0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4116.11</v>
      </c>
      <c r="G12" s="109">
        <f t="shared" si="0"/>
        <v>1895.4999999999995</v>
      </c>
      <c r="H12" s="32">
        <f t="shared" si="1"/>
        <v>185.35942826520636</v>
      </c>
      <c r="I12" s="110">
        <f t="shared" si="2"/>
        <v>-2383.8900000000003</v>
      </c>
      <c r="J12" s="110">
        <f t="shared" si="3"/>
        <v>63.32476923076923</v>
      </c>
      <c r="K12" s="112">
        <f>F12-1718.24</f>
        <v>2397.87</v>
      </c>
      <c r="L12" s="112">
        <f>F12/1718.24*100</f>
        <v>239.55384579569792</v>
      </c>
      <c r="M12" s="111">
        <f>E12-квітень!E12</f>
        <v>530.0000000000002</v>
      </c>
      <c r="N12" s="179">
        <f>F12-квітень!F12</f>
        <v>19.67999999999938</v>
      </c>
      <c r="O12" s="112">
        <f t="shared" si="4"/>
        <v>-510.32000000000085</v>
      </c>
      <c r="P12" s="42">
        <f t="shared" si="5"/>
        <v>3.7132075471696933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3269.69</v>
      </c>
      <c r="G13" s="109">
        <f t="shared" si="0"/>
        <v>-495.1500000000001</v>
      </c>
      <c r="H13" s="32">
        <f t="shared" si="1"/>
        <v>86.84804666333761</v>
      </c>
      <c r="I13" s="110">
        <f t="shared" si="2"/>
        <v>-9130.31</v>
      </c>
      <c r="J13" s="110">
        <f t="shared" si="3"/>
        <v>26.368467741935486</v>
      </c>
      <c r="K13" s="112">
        <f>F13-1662.77</f>
        <v>1606.92</v>
      </c>
      <c r="L13" s="112">
        <f>F13/1662.77*100</f>
        <v>196.64114700168994</v>
      </c>
      <c r="M13" s="111">
        <f>E13-квітень!E13</f>
        <v>1100</v>
      </c>
      <c r="N13" s="179">
        <f>F13-квітень!F13</f>
        <v>58.210000000000036</v>
      </c>
      <c r="O13" s="112">
        <f t="shared" si="4"/>
        <v>-1041.79</v>
      </c>
      <c r="P13" s="42">
        <f t="shared" si="5"/>
        <v>5.291818181818185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1426.36</v>
      </c>
      <c r="G14" s="109">
        <f t="shared" si="0"/>
        <v>-1079.68</v>
      </c>
      <c r="H14" s="32">
        <f t="shared" si="1"/>
        <v>56.91688879666725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E14-квітень!E14</f>
        <v>630</v>
      </c>
      <c r="N14" s="179">
        <f>F14-квітень!F14</f>
        <v>0</v>
      </c>
      <c r="O14" s="112">
        <f t="shared" si="4"/>
        <v>-630</v>
      </c>
      <c r="P14" s="42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185.84</v>
      </c>
      <c r="G15" s="190">
        <f t="shared" si="0"/>
        <v>-49.16</v>
      </c>
      <c r="H15" s="197">
        <f>F15/E15*100</f>
        <v>79.0808510638298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E15-квітень!E15</f>
        <v>115</v>
      </c>
      <c r="N15" s="200">
        <f>F15-квітень!F15</f>
        <v>0</v>
      </c>
      <c r="O15" s="201">
        <f t="shared" si="4"/>
        <v>-115</v>
      </c>
      <c r="P15" s="198"/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197">
        <f>E17-квітень!E17</f>
        <v>0</v>
      </c>
      <c r="N17" s="200">
        <f>F17-квітень!F17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26039.64</v>
      </c>
      <c r="G19" s="190">
        <f t="shared" si="0"/>
        <v>-12020.760000000002</v>
      </c>
      <c r="H19" s="197">
        <f t="shared" si="1"/>
        <v>68.41662200081974</v>
      </c>
      <c r="I19" s="198">
        <f t="shared" si="2"/>
        <v>-83860.36</v>
      </c>
      <c r="J19" s="198">
        <f t="shared" si="3"/>
        <v>23.693939945404914</v>
      </c>
      <c r="K19" s="209">
        <f>F19-16357.62</f>
        <v>9682.019999999999</v>
      </c>
      <c r="L19" s="209">
        <f>F19/16357.62*100</f>
        <v>159.18966206575283</v>
      </c>
      <c r="M19" s="197">
        <f>E19-квітень!E19</f>
        <v>9500</v>
      </c>
      <c r="N19" s="200">
        <f>F19-квітень!F19</f>
        <v>21.0099999999984</v>
      </c>
      <c r="O19" s="201">
        <f t="shared" si="4"/>
        <v>-9478.990000000002</v>
      </c>
      <c r="P19" s="198">
        <f t="shared" si="5"/>
        <v>0.22115789473682526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119728.81</v>
      </c>
      <c r="F20" s="210">
        <f>F21+F25+F27+F26</f>
        <v>110850.85</v>
      </c>
      <c r="G20" s="190">
        <f t="shared" si="0"/>
        <v>-8877.959999999992</v>
      </c>
      <c r="H20" s="197">
        <f t="shared" si="1"/>
        <v>92.58494258817073</v>
      </c>
      <c r="I20" s="198">
        <f t="shared" si="2"/>
        <v>-160089.15</v>
      </c>
      <c r="J20" s="198">
        <f t="shared" si="3"/>
        <v>40.913431017937555</v>
      </c>
      <c r="K20" s="198">
        <f>F20-70294.13</f>
        <v>40556.72</v>
      </c>
      <c r="L20" s="198">
        <f>F20/70294.13*100</f>
        <v>157.6957421622545</v>
      </c>
      <c r="M20" s="197">
        <f>M21+M25+M26+M27</f>
        <v>22527.800000000003</v>
      </c>
      <c r="N20" s="200">
        <f>F20-квітень!F20</f>
        <v>1068.340000000011</v>
      </c>
      <c r="O20" s="201">
        <f t="shared" si="4"/>
        <v>-21459.459999999992</v>
      </c>
      <c r="P20" s="198">
        <f t="shared" si="5"/>
        <v>4.742318379957257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63596.26</v>
      </c>
      <c r="F21" s="211">
        <f>F22+F23+F24</f>
        <v>58233.299999999996</v>
      </c>
      <c r="G21" s="190">
        <f t="shared" si="0"/>
        <v>-5362.960000000006</v>
      </c>
      <c r="H21" s="197">
        <f t="shared" si="1"/>
        <v>91.56717706355687</v>
      </c>
      <c r="I21" s="198">
        <f t="shared" si="2"/>
        <v>-103166.70000000001</v>
      </c>
      <c r="J21" s="198">
        <f t="shared" si="3"/>
        <v>36.08011152416356</v>
      </c>
      <c r="K21" s="198">
        <f>F21-37283.9</f>
        <v>20949.399999999994</v>
      </c>
      <c r="L21" s="198">
        <f>F21/37283.9*100</f>
        <v>156.1888643623655</v>
      </c>
      <c r="M21" s="197">
        <f>M22+M23+M24</f>
        <v>11910</v>
      </c>
      <c r="N21" s="200">
        <f>F21-квітень!F21</f>
        <v>197.04999999999563</v>
      </c>
      <c r="O21" s="201">
        <f t="shared" si="4"/>
        <v>-11712.950000000004</v>
      </c>
      <c r="P21" s="198">
        <f t="shared" si="5"/>
        <v>1.654492023509619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6871.6</v>
      </c>
      <c r="F22" s="213">
        <v>8425.23</v>
      </c>
      <c r="G22" s="212">
        <f>F22-E22</f>
        <v>1553.6299999999992</v>
      </c>
      <c r="H22" s="214">
        <f t="shared" si="1"/>
        <v>122.6094359392281</v>
      </c>
      <c r="I22" s="215">
        <f t="shared" si="2"/>
        <v>-10074.77</v>
      </c>
      <c r="J22" s="215">
        <f t="shared" si="3"/>
        <v>45.54178378378378</v>
      </c>
      <c r="K22" s="216">
        <f>F22-4219.07</f>
        <v>4206.16</v>
      </c>
      <c r="L22" s="216">
        <f>F22/4219.07*100</f>
        <v>199.69400839521506</v>
      </c>
      <c r="M22" s="214">
        <f>E22-квітень!E22</f>
        <v>240</v>
      </c>
      <c r="N22" s="217">
        <f>F22-квітень!F22</f>
        <v>12.020000000000437</v>
      </c>
      <c r="O22" s="218">
        <f t="shared" si="4"/>
        <v>-227.97999999999956</v>
      </c>
      <c r="P22" s="215">
        <f t="shared" si="5"/>
        <v>5.008333333333515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E23-квітень!E23</f>
        <v>0</v>
      </c>
      <c r="N23" s="217">
        <f>F23-квітень!F23</f>
        <v>0</v>
      </c>
      <c r="O23" s="218">
        <f t="shared" si="4"/>
        <v>0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56447.82</v>
      </c>
      <c r="F24" s="213">
        <v>49421.49</v>
      </c>
      <c r="G24" s="212">
        <f>F24-E24</f>
        <v>-7026.330000000002</v>
      </c>
      <c r="H24" s="214">
        <f t="shared" si="1"/>
        <v>87.55252195744671</v>
      </c>
      <c r="I24" s="215">
        <f t="shared" si="2"/>
        <v>-90678.51000000001</v>
      </c>
      <c r="J24" s="215">
        <f t="shared" si="3"/>
        <v>35.275867237687365</v>
      </c>
      <c r="K24" s="216">
        <f>F24-32923.11</f>
        <v>16498.379999999997</v>
      </c>
      <c r="L24" s="216">
        <f>F24/32923.11*100</f>
        <v>150.11185152313982</v>
      </c>
      <c r="M24" s="214">
        <f>E24-квітень!E24</f>
        <v>11670</v>
      </c>
      <c r="N24" s="217">
        <f>F24-квітень!F24</f>
        <v>185.02999999999884</v>
      </c>
      <c r="O24" s="218">
        <f t="shared" si="4"/>
        <v>-11484.970000000001</v>
      </c>
      <c r="P24" s="215">
        <f t="shared" si="5"/>
        <v>1.5855184233076165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30.51</v>
      </c>
      <c r="F25" s="196">
        <v>35.48</v>
      </c>
      <c r="G25" s="190">
        <f>F25-E25</f>
        <v>4.969999999999995</v>
      </c>
      <c r="H25" s="197">
        <f t="shared" si="1"/>
        <v>116.28974106850211</v>
      </c>
      <c r="I25" s="198">
        <f t="shared" si="2"/>
        <v>-41.52</v>
      </c>
      <c r="J25" s="198">
        <f t="shared" si="3"/>
        <v>46.077922077922075</v>
      </c>
      <c r="K25" s="198">
        <f>F25-23.16</f>
        <v>12.319999999999997</v>
      </c>
      <c r="L25" s="198">
        <f>F25/23.16*100</f>
        <v>153.19516407599306</v>
      </c>
      <c r="M25" s="197">
        <f>E25-квітень!E25</f>
        <v>11</v>
      </c>
      <c r="N25" s="200">
        <f>F25-квітень!F25</f>
        <v>2.769999999999996</v>
      </c>
      <c r="O25" s="201">
        <f t="shared" si="4"/>
        <v>-8.230000000000004</v>
      </c>
      <c r="P25" s="198">
        <f t="shared" si="5"/>
        <v>25.181818181818144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E26-квітень!E26</f>
        <v>0</v>
      </c>
      <c r="N26" s="200">
        <f>F26-квітень!F26</f>
        <v>0</v>
      </c>
      <c r="O26" s="201">
        <f t="shared" si="4"/>
        <v>0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56102.04</v>
      </c>
      <c r="F27" s="172">
        <v>52689.08</v>
      </c>
      <c r="G27" s="202">
        <f t="shared" si="6"/>
        <v>-3412.959999999999</v>
      </c>
      <c r="H27" s="204">
        <f t="shared" si="1"/>
        <v>93.91651355280486</v>
      </c>
      <c r="I27" s="205">
        <f t="shared" si="2"/>
        <v>-56773.92</v>
      </c>
      <c r="J27" s="205">
        <f t="shared" si="3"/>
        <v>48.134145784420305</v>
      </c>
      <c r="K27" s="219">
        <f>F27-33046.32</f>
        <v>19642.760000000002</v>
      </c>
      <c r="L27" s="219">
        <f>F27/33046.32*100</f>
        <v>159.44008288971358</v>
      </c>
      <c r="M27" s="197">
        <f>E27-квітень!E27</f>
        <v>10606.800000000003</v>
      </c>
      <c r="N27" s="200">
        <f>F27-квітень!F27</f>
        <v>868.5200000000041</v>
      </c>
      <c r="O27" s="207">
        <f t="shared" si="4"/>
        <v>-9738.279999999999</v>
      </c>
      <c r="P27" s="205">
        <f>N27/M27*100</f>
        <v>8.188332013425386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E28-квітень!E28</f>
        <v>0</v>
      </c>
      <c r="N28" s="179">
        <f>F28-квітень!F28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14755.97</v>
      </c>
      <c r="F29" s="171">
        <v>12840.72</v>
      </c>
      <c r="G29" s="109">
        <f t="shared" si="6"/>
        <v>-1915.25</v>
      </c>
      <c r="H29" s="111">
        <f t="shared" si="1"/>
        <v>87.0205076318263</v>
      </c>
      <c r="I29" s="110">
        <f t="shared" si="2"/>
        <v>-14759.28</v>
      </c>
      <c r="J29" s="110">
        <f t="shared" si="3"/>
        <v>46.52434782608695</v>
      </c>
      <c r="K29" s="142">
        <f>F29-8182.41</f>
        <v>4658.3099999999995</v>
      </c>
      <c r="L29" s="142">
        <f>F29/8182.41*100</f>
        <v>156.93078200676817</v>
      </c>
      <c r="M29" s="111">
        <f>E29-квітень!E29</f>
        <v>3500</v>
      </c>
      <c r="N29" s="179">
        <f>F29-квітень!F29</f>
        <v>355.9599999999991</v>
      </c>
      <c r="O29" s="112">
        <f t="shared" si="4"/>
        <v>-3144.040000000001</v>
      </c>
      <c r="P29" s="110">
        <f>N29/M29*100</f>
        <v>10.170285714285688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41336.08</v>
      </c>
      <c r="F30" s="171">
        <v>39834.17</v>
      </c>
      <c r="G30" s="109">
        <f t="shared" si="6"/>
        <v>-1501.9100000000035</v>
      </c>
      <c r="H30" s="111">
        <f t="shared" si="1"/>
        <v>96.36658822026665</v>
      </c>
      <c r="I30" s="110">
        <f t="shared" si="2"/>
        <v>-41977.83</v>
      </c>
      <c r="J30" s="110">
        <f t="shared" si="3"/>
        <v>48.689886569207445</v>
      </c>
      <c r="K30" s="142">
        <f>F30-24859.36</f>
        <v>14974.809999999998</v>
      </c>
      <c r="L30" s="142">
        <f>F30/24859.36*100</f>
        <v>160.23811554279754</v>
      </c>
      <c r="M30" s="111">
        <f>E30-квітень!E30</f>
        <v>7100</v>
      </c>
      <c r="N30" s="179">
        <f>F30-квітень!F30</f>
        <v>512.5599999999977</v>
      </c>
      <c r="O30" s="112">
        <f t="shared" si="4"/>
        <v>-6587.440000000002</v>
      </c>
      <c r="P30" s="110">
        <f>N30/M30*100</f>
        <v>7.2191549295774315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9.99</v>
      </c>
      <c r="F31" s="171">
        <v>14.01</v>
      </c>
      <c r="G31" s="109">
        <f t="shared" si="6"/>
        <v>4.02</v>
      </c>
      <c r="H31" s="111">
        <f t="shared" si="1"/>
        <v>140.24024024024024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E31-квітень!E31</f>
        <v>6.800000000000001</v>
      </c>
      <c r="N31" s="179">
        <f>F31-квітень!F31</f>
        <v>0</v>
      </c>
      <c r="O31" s="112">
        <f t="shared" si="4"/>
        <v>-6.800000000000001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F32-квітень!F32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17807.03</v>
      </c>
      <c r="F33" s="15">
        <f>F34+F35+F36+F37+F38+F40+F42+F43+F44+F45+F46+F51+F52+F56+F39</f>
        <v>20222.056</v>
      </c>
      <c r="G33" s="191">
        <f>G34+G35+G36+G37+G38+G40+G42+G43+G44+G45+G46+G51+G52+G56</f>
        <v>2408.2259999999997</v>
      </c>
      <c r="H33" s="192">
        <f>F33/E33*100</f>
        <v>113.5622054885065</v>
      </c>
      <c r="I33" s="193">
        <f>F33-D33</f>
        <v>-22597.944</v>
      </c>
      <c r="J33" s="193">
        <f>F33/D33*100</f>
        <v>47.22572629612331</v>
      </c>
      <c r="K33" s="191">
        <f>F33-10433.59</f>
        <v>9788.466</v>
      </c>
      <c r="L33" s="191">
        <f>F33/10433.59*100</f>
        <v>193.81685498471762</v>
      </c>
      <c r="M33" s="191">
        <f>M34+M35+M36+M37+M38+M40+M42+M43+M44+M45+M46+M51+M52+M56</f>
        <v>3561</v>
      </c>
      <c r="N33" s="191">
        <f>N34+N35+N36+N37+N38+N40+N42+N43+N44+N45+N46+N51+N52+N56+N39</f>
        <v>3461.4119999999994</v>
      </c>
      <c r="O33" s="191">
        <f>O34+O35+O36+O37+O38+O40+O42+O43+O44+O45+O46+O51+O52+O56</f>
        <v>-99.58800000000019</v>
      </c>
      <c r="P33" s="191">
        <f>N33/M33*100</f>
        <v>97.20336983993259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64</v>
      </c>
      <c r="F34" s="170">
        <v>95.746</v>
      </c>
      <c r="G34" s="202">
        <f>F34-E34</f>
        <v>31.745999999999995</v>
      </c>
      <c r="H34" s="204">
        <f aca="true" t="shared" si="7" ref="H34:H57">F34/E34*100</f>
        <v>149.603125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E34-квітень!E34</f>
        <v>10</v>
      </c>
      <c r="N34" s="208">
        <f>F34-квітень!F34</f>
        <v>0</v>
      </c>
      <c r="O34" s="207">
        <f>N34-M34</f>
        <v>-10</v>
      </c>
      <c r="P34" s="205">
        <f aca="true" t="shared" si="8" ref="P34:P57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5537</v>
      </c>
      <c r="F35" s="170">
        <v>10098.73</v>
      </c>
      <c r="G35" s="202">
        <f aca="true" t="shared" si="9" ref="G35:G58">F35-E35</f>
        <v>4561.73</v>
      </c>
      <c r="H35" s="204">
        <f t="shared" si="7"/>
        <v>182.38631027632292</v>
      </c>
      <c r="I35" s="205">
        <f aca="true" t="shared" si="10" ref="I35:I58">F35-D35</f>
        <v>98.72999999999956</v>
      </c>
      <c r="J35" s="205">
        <f>F35/D35*100</f>
        <v>100.9873</v>
      </c>
      <c r="K35" s="205">
        <f>F35-0</f>
        <v>10098.73</v>
      </c>
      <c r="L35" s="205"/>
      <c r="M35" s="204">
        <f>E35-квітень!E35</f>
        <v>1000</v>
      </c>
      <c r="N35" s="208">
        <f>F35-квітень!F35</f>
        <v>3345.3199999999997</v>
      </c>
      <c r="O35" s="207">
        <f aca="true" t="shared" si="11" ref="O35:O58">N35-M35</f>
        <v>2345.3199999999997</v>
      </c>
      <c r="P35" s="205">
        <f t="shared" si="8"/>
        <v>334.532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91.44</v>
      </c>
      <c r="F36" s="170">
        <v>27.51</v>
      </c>
      <c r="G36" s="202">
        <f t="shared" si="9"/>
        <v>-63.92999999999999</v>
      </c>
      <c r="H36" s="204">
        <f t="shared" si="7"/>
        <v>30.085301837270347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E36-квітень!E36</f>
        <v>20</v>
      </c>
      <c r="N36" s="208">
        <f>F36-квітень!F36</f>
        <v>0</v>
      </c>
      <c r="O36" s="207">
        <f t="shared" si="11"/>
        <v>-20</v>
      </c>
      <c r="P36" s="205">
        <f t="shared" si="8"/>
        <v>0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E37-квітень!E37</f>
        <v>0</v>
      </c>
      <c r="N37" s="208">
        <f>F37-квітень!F37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50</v>
      </c>
      <c r="F38" s="170">
        <v>34.67</v>
      </c>
      <c r="G38" s="202">
        <f t="shared" si="9"/>
        <v>-15.329999999999998</v>
      </c>
      <c r="H38" s="204">
        <f t="shared" si="7"/>
        <v>69.34</v>
      </c>
      <c r="I38" s="205">
        <f t="shared" si="10"/>
        <v>-115.33</v>
      </c>
      <c r="J38" s="205">
        <f t="shared" si="12"/>
        <v>23.113333333333337</v>
      </c>
      <c r="K38" s="205">
        <f>F38-41.25</f>
        <v>-6.579999999999998</v>
      </c>
      <c r="L38" s="205">
        <f>F38/41.25*100</f>
        <v>84.04848484848485</v>
      </c>
      <c r="M38" s="204">
        <f>E38-квітень!E38</f>
        <v>10</v>
      </c>
      <c r="N38" s="208">
        <f>F38-квітень!F38</f>
        <v>0.46999999999999886</v>
      </c>
      <c r="O38" s="207">
        <f t="shared" si="11"/>
        <v>-9.530000000000001</v>
      </c>
      <c r="P38" s="205">
        <f t="shared" si="8"/>
        <v>4.699999999999989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>
        <f>E39-квітень!E39</f>
        <v>0</v>
      </c>
      <c r="N39" s="208">
        <f>F39-квітень!F39</f>
        <v>0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32</v>
      </c>
      <c r="F40" s="170">
        <v>3.28</v>
      </c>
      <c r="G40" s="202">
        <f t="shared" si="9"/>
        <v>-28.72</v>
      </c>
      <c r="H40" s="204">
        <f t="shared" si="7"/>
        <v>10.25</v>
      </c>
      <c r="I40" s="205">
        <f t="shared" si="10"/>
        <v>-86.72</v>
      </c>
      <c r="J40" s="205">
        <f t="shared" si="12"/>
        <v>3.644444444444444</v>
      </c>
      <c r="K40" s="205">
        <f>F40-0</f>
        <v>3.28</v>
      </c>
      <c r="L40" s="205"/>
      <c r="M40" s="204">
        <f>E40-квітень!E40</f>
        <v>8</v>
      </c>
      <c r="N40" s="208">
        <f>F40-квітень!F40</f>
        <v>3.28</v>
      </c>
      <c r="O40" s="207">
        <f t="shared" si="11"/>
        <v>-4.720000000000001</v>
      </c>
      <c r="P40" s="205">
        <f t="shared" si="8"/>
        <v>41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E41-квітень!E41</f>
        <v>0</v>
      </c>
      <c r="N41" s="208">
        <f>F41-квітень!F41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3739.02</v>
      </c>
      <c r="F42" s="170">
        <v>3242.16</v>
      </c>
      <c r="G42" s="202">
        <f t="shared" si="9"/>
        <v>-496.8600000000001</v>
      </c>
      <c r="H42" s="204">
        <f t="shared" si="7"/>
        <v>86.71149124636936</v>
      </c>
      <c r="I42" s="205">
        <f t="shared" si="10"/>
        <v>-6657.84</v>
      </c>
      <c r="J42" s="205">
        <f t="shared" si="12"/>
        <v>32.7490909090909</v>
      </c>
      <c r="K42" s="205">
        <f>F42-3348.03</f>
        <v>-105.87000000000035</v>
      </c>
      <c r="L42" s="205">
        <f>F42/3348.03*100</f>
        <v>96.83784195482119</v>
      </c>
      <c r="M42" s="204">
        <f>E42-квітень!E42</f>
        <v>800</v>
      </c>
      <c r="N42" s="208">
        <f>F42-квітень!F42</f>
        <v>40.75</v>
      </c>
      <c r="O42" s="207">
        <f t="shared" si="11"/>
        <v>-759.25</v>
      </c>
      <c r="P42" s="205">
        <f t="shared" si="8"/>
        <v>5.09375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520</v>
      </c>
      <c r="F43" s="170">
        <v>2.28</v>
      </c>
      <c r="G43" s="202">
        <f t="shared" si="9"/>
        <v>-517.72</v>
      </c>
      <c r="H43" s="204">
        <f t="shared" si="7"/>
        <v>0.43846153846153846</v>
      </c>
      <c r="I43" s="205">
        <f t="shared" si="10"/>
        <v>-1497.72</v>
      </c>
      <c r="J43" s="205">
        <f t="shared" si="12"/>
        <v>0.152</v>
      </c>
      <c r="K43" s="205">
        <f>F43-0</f>
        <v>2.28</v>
      </c>
      <c r="L43" s="205"/>
      <c r="M43" s="204">
        <f>E43-квітень!E43</f>
        <v>130</v>
      </c>
      <c r="N43" s="208">
        <f>F43-квітень!F43</f>
        <v>0.9099999999999997</v>
      </c>
      <c r="O43" s="207">
        <f t="shared" si="11"/>
        <v>-129.09</v>
      </c>
      <c r="P43" s="205">
        <f t="shared" si="8"/>
        <v>0.6999999999999997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16</v>
      </c>
      <c r="F44" s="170">
        <v>0</v>
      </c>
      <c r="G44" s="202">
        <f t="shared" si="9"/>
        <v>-16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E44-квітень!E44</f>
        <v>4</v>
      </c>
      <c r="N44" s="208">
        <f>F44-квітень!F44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3316.23</v>
      </c>
      <c r="F45" s="170">
        <v>2631.35</v>
      </c>
      <c r="G45" s="202">
        <f t="shared" si="9"/>
        <v>-684.8800000000001</v>
      </c>
      <c r="H45" s="204">
        <f t="shared" si="7"/>
        <v>79.34763270340115</v>
      </c>
      <c r="I45" s="205">
        <f t="shared" si="10"/>
        <v>-5868.65</v>
      </c>
      <c r="J45" s="205">
        <f t="shared" si="12"/>
        <v>30.957058823529408</v>
      </c>
      <c r="K45" s="205">
        <f>F45-2673.74</f>
        <v>-42.38999999999987</v>
      </c>
      <c r="L45" s="205">
        <f>F45/2673.74*100</f>
        <v>98.41458032568612</v>
      </c>
      <c r="M45" s="204">
        <f>E45-квітень!E45</f>
        <v>650</v>
      </c>
      <c r="N45" s="208">
        <f>F45-квітень!F45</f>
        <v>0.0019999999999527063</v>
      </c>
      <c r="O45" s="207">
        <f t="shared" si="11"/>
        <v>-649.998</v>
      </c>
      <c r="P45" s="205">
        <f t="shared" si="8"/>
        <v>0.00030769230768503173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2553.19</v>
      </c>
      <c r="F46" s="170">
        <v>2018.66</v>
      </c>
      <c r="G46" s="202">
        <f t="shared" si="9"/>
        <v>-534.53</v>
      </c>
      <c r="H46" s="204">
        <f t="shared" si="7"/>
        <v>79.06422945413385</v>
      </c>
      <c r="I46" s="205">
        <f t="shared" si="10"/>
        <v>-5281.34</v>
      </c>
      <c r="J46" s="205">
        <f t="shared" si="12"/>
        <v>27.652876712328766</v>
      </c>
      <c r="K46" s="205">
        <f>F46-2831.1</f>
        <v>-812.4399999999998</v>
      </c>
      <c r="L46" s="205">
        <f>F46/2831.1*100</f>
        <v>71.30302709194306</v>
      </c>
      <c r="M46" s="204">
        <f>E46-квітень!E46</f>
        <v>539</v>
      </c>
      <c r="N46" s="208">
        <f>F46-квітень!F46</f>
        <v>19.920000000000073</v>
      </c>
      <c r="O46" s="207">
        <f t="shared" si="11"/>
        <v>-519.0799999999999</v>
      </c>
      <c r="P46" s="205">
        <f t="shared" si="8"/>
        <v>3.695732838589995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366.99</v>
      </c>
      <c r="F47" s="171">
        <v>237.88</v>
      </c>
      <c r="G47" s="36">
        <f t="shared" si="9"/>
        <v>-129.11</v>
      </c>
      <c r="H47" s="32">
        <f t="shared" si="7"/>
        <v>64.81920488296684</v>
      </c>
      <c r="I47" s="110">
        <f t="shared" si="10"/>
        <v>-862.12</v>
      </c>
      <c r="J47" s="110">
        <f t="shared" si="12"/>
        <v>21.625454545454545</v>
      </c>
      <c r="K47" s="110">
        <f>F47-319.39</f>
        <v>-81.50999999999999</v>
      </c>
      <c r="L47" s="110">
        <f>F47/319.39*100</f>
        <v>74.4794765020821</v>
      </c>
      <c r="M47" s="111">
        <f>E47-квітень!E47</f>
        <v>78</v>
      </c>
      <c r="N47" s="179">
        <f>F47-квітень!F47</f>
        <v>2.460000000000008</v>
      </c>
      <c r="O47" s="112">
        <f t="shared" si="11"/>
        <v>-75.53999999999999</v>
      </c>
      <c r="P47" s="132">
        <f t="shared" si="8"/>
        <v>3.153846153846164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4.04</v>
      </c>
      <c r="F48" s="171">
        <v>0.15</v>
      </c>
      <c r="G48" s="36">
        <f t="shared" si="9"/>
        <v>-3.89</v>
      </c>
      <c r="H48" s="32">
        <f t="shared" si="7"/>
        <v>3.7128712871287126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E48-квітень!E48</f>
        <v>1</v>
      </c>
      <c r="N48" s="179">
        <f>F48-квітень!F48</f>
        <v>0</v>
      </c>
      <c r="O48" s="112">
        <f t="shared" si="11"/>
        <v>-1</v>
      </c>
      <c r="P48" s="132">
        <f t="shared" si="8"/>
        <v>0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E49-квітень!E49</f>
        <v>0</v>
      </c>
      <c r="N49" s="179">
        <f>F49-квітень!F49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2182.17</v>
      </c>
      <c r="F50" s="171">
        <v>1780.62</v>
      </c>
      <c r="G50" s="36">
        <f t="shared" si="9"/>
        <v>-401.5500000000002</v>
      </c>
      <c r="H50" s="32">
        <f t="shared" si="7"/>
        <v>81.59859222700338</v>
      </c>
      <c r="I50" s="110">
        <f t="shared" si="10"/>
        <v>-4373.38</v>
      </c>
      <c r="J50" s="110">
        <f t="shared" si="12"/>
        <v>28.934351641208966</v>
      </c>
      <c r="K50" s="110">
        <f>F50-2466.52</f>
        <v>-685.9000000000001</v>
      </c>
      <c r="L50" s="110">
        <f>F50/2466.52*100</f>
        <v>72.19158977020254</v>
      </c>
      <c r="M50" s="111">
        <f>E50-квітень!E50</f>
        <v>460</v>
      </c>
      <c r="N50" s="179">
        <f>F50-квітень!F50</f>
        <v>17.45999999999981</v>
      </c>
      <c r="O50" s="112">
        <f t="shared" si="11"/>
        <v>-442.5400000000002</v>
      </c>
      <c r="P50" s="132">
        <f t="shared" si="8"/>
        <v>3.7956521739130022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E51-квітень!E51</f>
        <v>0</v>
      </c>
      <c r="N51" s="208">
        <f>F51-квітень!F51</f>
        <v>0</v>
      </c>
      <c r="O51" s="207">
        <f t="shared" si="11"/>
        <v>0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1867.98</v>
      </c>
      <c r="F52" s="170">
        <v>2025.22</v>
      </c>
      <c r="G52" s="202">
        <f t="shared" si="9"/>
        <v>157.24</v>
      </c>
      <c r="H52" s="204">
        <f t="shared" si="7"/>
        <v>108.41764901123139</v>
      </c>
      <c r="I52" s="205">
        <f t="shared" si="10"/>
        <v>-2774.7799999999997</v>
      </c>
      <c r="J52" s="205">
        <f t="shared" si="12"/>
        <v>42.192083333333336</v>
      </c>
      <c r="K52" s="205">
        <f>F52-1435.76</f>
        <v>589.46</v>
      </c>
      <c r="L52" s="205">
        <f>F52/1435.76*100</f>
        <v>141.05560817964005</v>
      </c>
      <c r="M52" s="204">
        <f>E52-квітень!E52</f>
        <v>390</v>
      </c>
      <c r="N52" s="208">
        <f>F52-квітень!F52</f>
        <v>50.75999999999999</v>
      </c>
      <c r="O52" s="207">
        <f t="shared" si="11"/>
        <v>-339.24</v>
      </c>
      <c r="P52" s="205">
        <f t="shared" si="8"/>
        <v>13.015384615384612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E53-квітень!E53</f>
        <v>0</v>
      </c>
      <c r="N53" s="208">
        <f>F53-квітень!F53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392.7</v>
      </c>
      <c r="G54" s="202"/>
      <c r="H54" s="204"/>
      <c r="I54" s="205"/>
      <c r="J54" s="205"/>
      <c r="K54" s="206">
        <f>F54-313.7</f>
        <v>79</v>
      </c>
      <c r="L54" s="206">
        <f>F54/313.7*100</f>
        <v>125.1832961428116</v>
      </c>
      <c r="M54" s="236"/>
      <c r="N54" s="220">
        <f>F54-квітень!F54</f>
        <v>5.599999999999966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E55-квітень!E55</f>
        <v>0</v>
      </c>
      <c r="N55" s="208">
        <f>F55-квітень!F55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E56-квітень!E56</f>
        <v>0</v>
      </c>
      <c r="N56" s="208">
        <f>F56-квітень!F56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9.9</v>
      </c>
      <c r="F57" s="170">
        <v>13.52</v>
      </c>
      <c r="G57" s="202">
        <f t="shared" si="9"/>
        <v>3.619999999999999</v>
      </c>
      <c r="H57" s="204">
        <f t="shared" si="7"/>
        <v>136.56565656565655</v>
      </c>
      <c r="I57" s="205">
        <f t="shared" si="10"/>
        <v>-16.48</v>
      </c>
      <c r="J57" s="205">
        <f t="shared" si="12"/>
        <v>45.06666666666666</v>
      </c>
      <c r="K57" s="205">
        <f>F57-6.52</f>
        <v>7</v>
      </c>
      <c r="L57" s="205">
        <f>F57/6.52*100</f>
        <v>207.36196319018404</v>
      </c>
      <c r="M57" s="204">
        <f>E57-квітень!E57</f>
        <v>2.3000000000000007</v>
      </c>
      <c r="N57" s="208">
        <f>F57-квітень!F57</f>
        <v>0.009999999999999787</v>
      </c>
      <c r="O57" s="207">
        <f t="shared" si="11"/>
        <v>-2.290000000000001</v>
      </c>
      <c r="P57" s="205">
        <f t="shared" si="8"/>
        <v>0.43478260869564284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0.37</v>
      </c>
      <c r="G58" s="202">
        <f t="shared" si="9"/>
        <v>0.37</v>
      </c>
      <c r="H58" s="204"/>
      <c r="I58" s="205">
        <f t="shared" si="10"/>
        <v>-0.22999999999999998</v>
      </c>
      <c r="J58" s="205"/>
      <c r="K58" s="205">
        <f>F58-0.02</f>
        <v>0.35</v>
      </c>
      <c r="L58" s="205"/>
      <c r="M58" s="204">
        <f>E58-квітень!E58</f>
        <v>0</v>
      </c>
      <c r="N58" s="208">
        <f>F58-квітень!F58</f>
        <v>0.010000000000000009</v>
      </c>
      <c r="O58" s="207">
        <f t="shared" si="11"/>
        <v>0.010000000000000009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355253.41000000003</v>
      </c>
      <c r="F59" s="191">
        <f>F8+F33+F57+F58</f>
        <v>316634.82599999994</v>
      </c>
      <c r="G59" s="191">
        <f>F59-E59</f>
        <v>-38618.58400000009</v>
      </c>
      <c r="H59" s="192">
        <f>F59/E59*100</f>
        <v>89.12928548666146</v>
      </c>
      <c r="I59" s="193">
        <f>F59-D59</f>
        <v>-567265.774</v>
      </c>
      <c r="J59" s="193">
        <f>F59/D59*100</f>
        <v>35.82244722992608</v>
      </c>
      <c r="K59" s="193">
        <f>F59-208977.28</f>
        <v>107657.54599999994</v>
      </c>
      <c r="L59" s="193">
        <f>F59/208977.28*100</f>
        <v>151.5163878101964</v>
      </c>
      <c r="M59" s="191">
        <f>M8+M33+M57+M58</f>
        <v>69325.1</v>
      </c>
      <c r="N59" s="191">
        <f>N8+N33+N57+N58</f>
        <v>5729.6820000000325</v>
      </c>
      <c r="O59" s="195">
        <f>N59-M59</f>
        <v>-63595.417999999976</v>
      </c>
      <c r="P59" s="193">
        <f>N59/M59*100</f>
        <v>8.264945885400861</v>
      </c>
      <c r="Q59" s="28">
        <f>N59-34768</f>
        <v>-29038.317999999967</v>
      </c>
      <c r="R59" s="128">
        <f>N59/34768</f>
        <v>0.16479757248044272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F64-квітень!F64</f>
        <v>0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F65-квітень!F65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0</v>
      </c>
      <c r="O66" s="228">
        <f>N66-M66</f>
        <v>0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913</v>
      </c>
      <c r="F68" s="222">
        <v>300.88</v>
      </c>
      <c r="G68" s="202">
        <f aca="true" t="shared" si="13" ref="G68:G78">F68-E68</f>
        <v>-612.12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E68-квітень!E68</f>
        <v>546.4</v>
      </c>
      <c r="N68" s="208">
        <f>F68-квітень!F68</f>
        <v>0</v>
      </c>
      <c r="O68" s="207">
        <f aca="true" t="shared" si="15" ref="O68:O81">N68-M68</f>
        <v>-546.4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1951.11</v>
      </c>
      <c r="F69" s="222">
        <v>484.86</v>
      </c>
      <c r="G69" s="202">
        <f t="shared" si="13"/>
        <v>-1466.25</v>
      </c>
      <c r="H69" s="204">
        <f>F69/E69*100</f>
        <v>24.850469732613746</v>
      </c>
      <c r="I69" s="207">
        <f t="shared" si="14"/>
        <v>-6974.14</v>
      </c>
      <c r="J69" s="207">
        <f>F69/D69*100</f>
        <v>6.5003351655717925</v>
      </c>
      <c r="K69" s="207">
        <f>F69-1938.06</f>
        <v>-1453.1999999999998</v>
      </c>
      <c r="L69" s="207">
        <f>F69/1938.06*100</f>
        <v>25.017801306461102</v>
      </c>
      <c r="M69" s="204">
        <f>E69-квітень!E69</f>
        <v>317.0999999999999</v>
      </c>
      <c r="N69" s="208">
        <f>F69-квітень!F69</f>
        <v>12.600000000000023</v>
      </c>
      <c r="O69" s="207">
        <f t="shared" si="15"/>
        <v>-304.4999999999999</v>
      </c>
      <c r="P69" s="207">
        <f>N69/M69*100</f>
        <v>3.9735099337748427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1490.85</v>
      </c>
      <c r="F70" s="222">
        <v>9052.5</v>
      </c>
      <c r="G70" s="202">
        <f t="shared" si="13"/>
        <v>7561.65</v>
      </c>
      <c r="H70" s="204">
        <f>F70/E70*100</f>
        <v>607.2039440587585</v>
      </c>
      <c r="I70" s="207">
        <f t="shared" si="14"/>
        <v>3052.5</v>
      </c>
      <c r="J70" s="207">
        <f>F70/D70*100</f>
        <v>150.875</v>
      </c>
      <c r="K70" s="207">
        <f>F70-34.14</f>
        <v>9018.36</v>
      </c>
      <c r="L70" s="207">
        <f>F70/34.14*100</f>
        <v>26515.81722319859</v>
      </c>
      <c r="M70" s="204">
        <f>E70-квітень!E70</f>
        <v>302</v>
      </c>
      <c r="N70" s="208">
        <f>F70-квітень!F70</f>
        <v>242.42000000000007</v>
      </c>
      <c r="O70" s="207">
        <f t="shared" si="15"/>
        <v>-59.57999999999993</v>
      </c>
      <c r="P70" s="207">
        <f>N70/M70*100</f>
        <v>80.27152317880797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5</v>
      </c>
      <c r="F71" s="222">
        <v>5</v>
      </c>
      <c r="G71" s="202">
        <f t="shared" si="13"/>
        <v>0</v>
      </c>
      <c r="H71" s="204">
        <f>F71/E71*100</f>
        <v>100</v>
      </c>
      <c r="I71" s="207">
        <f t="shared" si="14"/>
        <v>-7</v>
      </c>
      <c r="J71" s="207">
        <f>F71/D71*100</f>
        <v>41.66666666666667</v>
      </c>
      <c r="K71" s="207">
        <f>F71-0</f>
        <v>5</v>
      </c>
      <c r="L71" s="207"/>
      <c r="M71" s="204">
        <f>E71-квітень!E71</f>
        <v>1</v>
      </c>
      <c r="N71" s="208">
        <f>F71-квітень!F71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4359.959999999999</v>
      </c>
      <c r="F72" s="225">
        <f>F68+F69+F70+F71</f>
        <v>9843.24</v>
      </c>
      <c r="G72" s="226">
        <f t="shared" si="13"/>
        <v>5483.280000000001</v>
      </c>
      <c r="H72" s="227">
        <f>F72/E72*100</f>
        <v>225.76445655464732</v>
      </c>
      <c r="I72" s="228">
        <f t="shared" si="14"/>
        <v>-7827.76</v>
      </c>
      <c r="J72" s="228">
        <f>F72/D72*100</f>
        <v>55.70278988172712</v>
      </c>
      <c r="K72" s="228">
        <f>F72-1938.06</f>
        <v>7905.18</v>
      </c>
      <c r="L72" s="228">
        <f>F72/1938.06*100</f>
        <v>507.8913965511903</v>
      </c>
      <c r="M72" s="226">
        <f>M68+M69+M70+M71</f>
        <v>1166.5</v>
      </c>
      <c r="N72" s="230">
        <f>N68+N69+N70+N71</f>
        <v>256.0200000000001</v>
      </c>
      <c r="O72" s="228">
        <f t="shared" si="15"/>
        <v>-910.4799999999999</v>
      </c>
      <c r="P72" s="228">
        <f>N72/M72*100</f>
        <v>21.94770681525933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E73-квітень!E73</f>
        <v>0</v>
      </c>
      <c r="N73" s="208">
        <f>F73-квітень!F73</f>
        <v>0</v>
      </c>
      <c r="O73" s="207">
        <f t="shared" si="15"/>
        <v>0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5117</v>
      </c>
      <c r="F75" s="222">
        <v>2035.7</v>
      </c>
      <c r="G75" s="202">
        <f t="shared" si="13"/>
        <v>-3081.3</v>
      </c>
      <c r="H75" s="204">
        <f>F75/E75*100</f>
        <v>39.78307602110612</v>
      </c>
      <c r="I75" s="207">
        <f t="shared" si="14"/>
        <v>-7464.3</v>
      </c>
      <c r="J75" s="207">
        <f>F75/D75*100</f>
        <v>21.42842105263158</v>
      </c>
      <c r="K75" s="207">
        <f>F75-0</f>
        <v>2035.7</v>
      </c>
      <c r="L75" s="207"/>
      <c r="M75" s="204">
        <f>E75-квітень!E75</f>
        <v>3096.3</v>
      </c>
      <c r="N75" s="208">
        <f>F75-квітень!F75</f>
        <v>0.17000000000007276</v>
      </c>
      <c r="O75" s="207">
        <f>N75-M75</f>
        <v>-3096.13</v>
      </c>
      <c r="P75" s="231">
        <f>N75/M75*100</f>
        <v>0.005490424054519031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E76-квітень!E76</f>
        <v>0</v>
      </c>
      <c r="N76" s="208">
        <f>F76-квітень!F76</f>
        <v>0</v>
      </c>
      <c r="O76" s="207">
        <f t="shared" si="15"/>
        <v>0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5117</v>
      </c>
      <c r="F77" s="225">
        <f>F73+F76+F74+F75</f>
        <v>2039.28</v>
      </c>
      <c r="G77" s="224">
        <f>G73+G76+G74+G75</f>
        <v>-3077.7200000000003</v>
      </c>
      <c r="H77" s="227">
        <f>F77/E77*100</f>
        <v>39.8530388899746</v>
      </c>
      <c r="I77" s="228">
        <f t="shared" si="14"/>
        <v>-7461.72</v>
      </c>
      <c r="J77" s="228">
        <f>F77/D77*100</f>
        <v>21.463845910956742</v>
      </c>
      <c r="K77" s="228">
        <f>F77-0.7</f>
        <v>2038.58</v>
      </c>
      <c r="L77" s="228">
        <f>F77/0.7*100</f>
        <v>291325.7142857143</v>
      </c>
      <c r="M77" s="226">
        <f>M73+M76+M74+M75</f>
        <v>3096.3</v>
      </c>
      <c r="N77" s="230">
        <f>N73+N76+N74+N75</f>
        <v>0.17000000000007276</v>
      </c>
      <c r="O77" s="226">
        <f>O73+O76+O74+O75</f>
        <v>-3096.13</v>
      </c>
      <c r="P77" s="228">
        <f>N77/M77*100</f>
        <v>0.005490424054519031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13.8</v>
      </c>
      <c r="F78" s="222">
        <v>9.19</v>
      </c>
      <c r="G78" s="202">
        <f t="shared" si="13"/>
        <v>-4.610000000000001</v>
      </c>
      <c r="H78" s="204">
        <f>F78/E78*100</f>
        <v>66.59420289855072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E78-квітень!E78</f>
        <v>0.6600000000000001</v>
      </c>
      <c r="N78" s="208">
        <f>F78-квітень!F78</f>
        <v>0</v>
      </c>
      <c r="O78" s="207">
        <f t="shared" si="15"/>
        <v>-0.6600000000000001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9490.759999999998</v>
      </c>
      <c r="F80" s="232">
        <f>F66+F78+F72+F77+F79</f>
        <v>11895.94</v>
      </c>
      <c r="G80" s="233">
        <f>F80-E80</f>
        <v>2405.180000000002</v>
      </c>
      <c r="H80" s="234">
        <f>F80/E80*100</f>
        <v>125.34233296385118</v>
      </c>
      <c r="I80" s="235">
        <f>F80-D80</f>
        <v>-15319.06</v>
      </c>
      <c r="J80" s="235">
        <f>F80/D80*100</f>
        <v>43.710968216057324</v>
      </c>
      <c r="K80" s="235">
        <f>F80-2072.3</f>
        <v>9823.64</v>
      </c>
      <c r="L80" s="235">
        <f>F80/2072.3*100</f>
        <v>574.0452637166433</v>
      </c>
      <c r="M80" s="232">
        <f>M66+M78+M72+M77</f>
        <v>4263.46</v>
      </c>
      <c r="N80" s="232">
        <f>N66+N78+N72+N77+N79</f>
        <v>256.19000000000017</v>
      </c>
      <c r="O80" s="235">
        <f t="shared" si="15"/>
        <v>-4007.27</v>
      </c>
      <c r="P80" s="235">
        <f>N80/M80*100</f>
        <v>6.008969240945151</v>
      </c>
      <c r="Q80" s="28">
        <f>N80-8104.96</f>
        <v>-7848.7699999999995</v>
      </c>
      <c r="R80" s="101">
        <f>N80/8104.96</f>
        <v>0.03160903940303224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364744.17000000004</v>
      </c>
      <c r="F81" s="232">
        <f>F59+F80</f>
        <v>328530.76599999995</v>
      </c>
      <c r="G81" s="233">
        <f>F81-E81</f>
        <v>-36213.4040000001</v>
      </c>
      <c r="H81" s="234">
        <f>F81/E81*100</f>
        <v>90.0715605680551</v>
      </c>
      <c r="I81" s="235">
        <f>F81-D81</f>
        <v>-582584.834</v>
      </c>
      <c r="J81" s="235">
        <f>F81/D81*100</f>
        <v>36.05807715288817</v>
      </c>
      <c r="K81" s="235">
        <f>F81-211049.59</f>
        <v>117481.17599999995</v>
      </c>
      <c r="L81" s="235">
        <f>F81/211049.59*100</f>
        <v>155.6651998234159</v>
      </c>
      <c r="M81" s="233">
        <f>M59+M80</f>
        <v>73588.56000000001</v>
      </c>
      <c r="N81" s="233">
        <f>N59+N80</f>
        <v>5985.872000000033</v>
      </c>
      <c r="O81" s="235">
        <f t="shared" si="15"/>
        <v>-67602.68799999998</v>
      </c>
      <c r="P81" s="235">
        <f>N81/M81*100</f>
        <v>8.134242605100619</v>
      </c>
      <c r="Q81" s="28">
        <f>N81-42872.96</f>
        <v>-36887.08799999997</v>
      </c>
      <c r="R81" s="101">
        <f>N81/42872.96</f>
        <v>0.13961881801489875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18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3533.0787777777764</v>
      </c>
      <c r="D84" s="4" t="s">
        <v>24</v>
      </c>
      <c r="G84" s="252"/>
      <c r="H84" s="252"/>
      <c r="I84" s="252"/>
      <c r="J84" s="252"/>
      <c r="K84" s="90"/>
      <c r="L84" s="90"/>
      <c r="P84" s="26"/>
      <c r="Q84" s="26"/>
    </row>
    <row r="85" spans="2:15" ht="34.5" customHeight="1">
      <c r="B85" s="58" t="s">
        <v>56</v>
      </c>
      <c r="C85" s="87">
        <v>42494</v>
      </c>
      <c r="D85" s="31">
        <v>5729.68</v>
      </c>
      <c r="G85" s="4" t="s">
        <v>59</v>
      </c>
      <c r="N85" s="245"/>
      <c r="O85" s="245"/>
    </row>
    <row r="86" spans="3:15" ht="15">
      <c r="C86" s="87">
        <v>42489</v>
      </c>
      <c r="D86" s="31">
        <v>11184.7</v>
      </c>
      <c r="F86" s="124" t="s">
        <v>59</v>
      </c>
      <c r="G86" s="239"/>
      <c r="H86" s="239"/>
      <c r="I86" s="131"/>
      <c r="J86" s="242"/>
      <c r="K86" s="242"/>
      <c r="L86" s="242"/>
      <c r="M86" s="242"/>
      <c r="N86" s="245"/>
      <c r="O86" s="245"/>
    </row>
    <row r="87" spans="3:15" ht="15.75" customHeight="1">
      <c r="C87" s="87">
        <v>42488</v>
      </c>
      <c r="D87" s="31">
        <v>11419.7</v>
      </c>
      <c r="F87" s="73"/>
      <c r="G87" s="239"/>
      <c r="H87" s="239"/>
      <c r="I87" s="131"/>
      <c r="J87" s="246"/>
      <c r="K87" s="246"/>
      <c r="L87" s="246"/>
      <c r="M87" s="246"/>
      <c r="N87" s="245"/>
      <c r="O87" s="245"/>
    </row>
    <row r="88" spans="3:13" ht="15.75" customHeight="1">
      <c r="C88" s="87"/>
      <c r="F88" s="73"/>
      <c r="G88" s="241"/>
      <c r="H88" s="241"/>
      <c r="I88" s="139"/>
      <c r="J88" s="242"/>
      <c r="K88" s="242"/>
      <c r="L88" s="242"/>
      <c r="M88" s="242"/>
    </row>
    <row r="89" spans="2:13" ht="18.75" customHeight="1">
      <c r="B89" s="243" t="s">
        <v>57</v>
      </c>
      <c r="C89" s="244"/>
      <c r="D89" s="148">
        <v>10769.72657</v>
      </c>
      <c r="E89" s="74"/>
      <c r="F89" s="140" t="s">
        <v>137</v>
      </c>
      <c r="G89" s="239"/>
      <c r="H89" s="239"/>
      <c r="I89" s="141"/>
      <c r="J89" s="242"/>
      <c r="K89" s="242"/>
      <c r="L89" s="242"/>
      <c r="M89" s="242"/>
    </row>
    <row r="90" spans="6:12" ht="9.75" customHeight="1">
      <c r="F90" s="73"/>
      <c r="G90" s="239"/>
      <c r="H90" s="239"/>
      <c r="I90" s="73"/>
      <c r="J90" s="74"/>
      <c r="K90" s="74"/>
      <c r="L90" s="74"/>
    </row>
    <row r="91" spans="2:12" ht="22.5" customHeight="1" hidden="1">
      <c r="B91" s="237" t="s">
        <v>60</v>
      </c>
      <c r="C91" s="238"/>
      <c r="D91" s="86">
        <v>0</v>
      </c>
      <c r="E91" s="56" t="s">
        <v>24</v>
      </c>
      <c r="F91" s="73"/>
      <c r="G91" s="239"/>
      <c r="H91" s="2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39"/>
      <c r="O92" s="239"/>
    </row>
    <row r="93" spans="4:15" ht="15">
      <c r="D93" s="83"/>
      <c r="I93" s="31"/>
      <c r="N93" s="240"/>
      <c r="O93" s="240"/>
    </row>
    <row r="94" spans="14:15" ht="15">
      <c r="N94" s="239"/>
      <c r="O94" s="2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97" sqref="E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9" t="s">
        <v>156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69" t="s">
        <v>153</v>
      </c>
      <c r="N3" s="270" t="s">
        <v>154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150</v>
      </c>
      <c r="F4" s="253" t="s">
        <v>34</v>
      </c>
      <c r="G4" s="247" t="s">
        <v>151</v>
      </c>
      <c r="H4" s="255" t="s">
        <v>152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157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8.7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155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387.1</v>
      </c>
      <c r="G54" s="202"/>
      <c r="H54" s="204"/>
      <c r="I54" s="205"/>
      <c r="J54" s="205"/>
      <c r="K54" s="206">
        <f>F54-313.7</f>
        <v>73.40000000000003</v>
      </c>
      <c r="L54" s="206">
        <f>F54/313.7*100</f>
        <v>123.39815109977688</v>
      </c>
      <c r="M54" s="204">
        <f>E54-березень!E53</f>
        <v>0</v>
      </c>
      <c r="N54" s="220">
        <f>F54-березень!F53</f>
        <v>156.66000000000003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52"/>
      <c r="H84" s="252"/>
      <c r="I84" s="252"/>
      <c r="J84" s="25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45"/>
      <c r="O85" s="245"/>
    </row>
    <row r="86" spans="3:15" ht="15">
      <c r="C86" s="87">
        <v>42488</v>
      </c>
      <c r="D86" s="31">
        <v>11419.7</v>
      </c>
      <c r="F86" s="124" t="s">
        <v>59</v>
      </c>
      <c r="G86" s="239"/>
      <c r="H86" s="239"/>
      <c r="I86" s="131"/>
      <c r="J86" s="242"/>
      <c r="K86" s="242"/>
      <c r="L86" s="242"/>
      <c r="M86" s="242"/>
      <c r="N86" s="245"/>
      <c r="O86" s="245"/>
    </row>
    <row r="87" spans="3:15" ht="15.75" customHeight="1">
      <c r="C87" s="87">
        <v>42487</v>
      </c>
      <c r="D87" s="31">
        <v>7800.7</v>
      </c>
      <c r="F87" s="73"/>
      <c r="G87" s="239"/>
      <c r="H87" s="239"/>
      <c r="I87" s="131"/>
      <c r="J87" s="246"/>
      <c r="K87" s="246"/>
      <c r="L87" s="246"/>
      <c r="M87" s="246"/>
      <c r="N87" s="245"/>
      <c r="O87" s="245"/>
    </row>
    <row r="88" spans="3:13" ht="15.75" customHeight="1">
      <c r="C88" s="87"/>
      <c r="F88" s="73"/>
      <c r="G88" s="241"/>
      <c r="H88" s="241"/>
      <c r="I88" s="139"/>
      <c r="J88" s="242"/>
      <c r="K88" s="242"/>
      <c r="L88" s="242"/>
      <c r="M88" s="242"/>
    </row>
    <row r="89" spans="2:13" ht="18.75" customHeight="1">
      <c r="B89" s="243" t="s">
        <v>57</v>
      </c>
      <c r="C89" s="244"/>
      <c r="D89" s="148">
        <v>9087.9705</v>
      </c>
      <c r="E89" s="74"/>
      <c r="F89" s="140" t="s">
        <v>137</v>
      </c>
      <c r="G89" s="239"/>
      <c r="H89" s="239"/>
      <c r="I89" s="141"/>
      <c r="J89" s="242"/>
      <c r="K89" s="242"/>
      <c r="L89" s="242"/>
      <c r="M89" s="242"/>
    </row>
    <row r="90" spans="6:12" ht="9.75" customHeight="1">
      <c r="F90" s="73"/>
      <c r="G90" s="239"/>
      <c r="H90" s="239"/>
      <c r="I90" s="73"/>
      <c r="J90" s="74"/>
      <c r="K90" s="74"/>
      <c r="L90" s="74"/>
    </row>
    <row r="91" spans="2:12" ht="22.5" customHeight="1" hidden="1">
      <c r="B91" s="237" t="s">
        <v>60</v>
      </c>
      <c r="C91" s="238"/>
      <c r="D91" s="86">
        <v>0</v>
      </c>
      <c r="E91" s="56" t="s">
        <v>24</v>
      </c>
      <c r="F91" s="73"/>
      <c r="G91" s="239"/>
      <c r="H91" s="2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39"/>
      <c r="O92" s="239"/>
    </row>
    <row r="93" spans="4:15" ht="15">
      <c r="D93" s="83"/>
      <c r="I93" s="31"/>
      <c r="N93" s="240"/>
      <c r="O93" s="240"/>
    </row>
    <row r="94" spans="14:15" ht="15">
      <c r="N94" s="239"/>
      <c r="O94" s="2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2" sqref="D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9" t="s">
        <v>148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69" t="s">
        <v>147</v>
      </c>
      <c r="N3" s="270" t="s">
        <v>143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146</v>
      </c>
      <c r="F4" s="253" t="s">
        <v>34</v>
      </c>
      <c r="G4" s="247" t="s">
        <v>141</v>
      </c>
      <c r="H4" s="255" t="s">
        <v>142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149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8.7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144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52"/>
      <c r="H83" s="252"/>
      <c r="I83" s="252"/>
      <c r="J83" s="25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45"/>
      <c r="O84" s="245"/>
    </row>
    <row r="85" spans="3:15" ht="15">
      <c r="C85" s="87">
        <v>42459</v>
      </c>
      <c r="D85" s="31">
        <v>7576.3</v>
      </c>
      <c r="F85" s="124" t="s">
        <v>59</v>
      </c>
      <c r="G85" s="239"/>
      <c r="H85" s="239"/>
      <c r="I85" s="131"/>
      <c r="J85" s="242"/>
      <c r="K85" s="242"/>
      <c r="L85" s="242"/>
      <c r="M85" s="242"/>
      <c r="N85" s="245"/>
      <c r="O85" s="245"/>
    </row>
    <row r="86" spans="3:15" ht="15.75" customHeight="1">
      <c r="C86" s="87">
        <v>42458</v>
      </c>
      <c r="D86" s="31">
        <v>9190.1</v>
      </c>
      <c r="F86" s="73"/>
      <c r="G86" s="239"/>
      <c r="H86" s="239"/>
      <c r="I86" s="131"/>
      <c r="J86" s="246"/>
      <c r="K86" s="246"/>
      <c r="L86" s="246"/>
      <c r="M86" s="246"/>
      <c r="N86" s="245"/>
      <c r="O86" s="245"/>
    </row>
    <row r="87" spans="3:13" ht="15.75" customHeight="1">
      <c r="C87" s="87"/>
      <c r="F87" s="73"/>
      <c r="G87" s="241"/>
      <c r="H87" s="241"/>
      <c r="I87" s="139"/>
      <c r="J87" s="242"/>
      <c r="K87" s="242"/>
      <c r="L87" s="242"/>
      <c r="M87" s="242"/>
    </row>
    <row r="88" spans="2:13" ht="18.75" customHeight="1">
      <c r="B88" s="243" t="s">
        <v>57</v>
      </c>
      <c r="C88" s="244"/>
      <c r="D88" s="148">
        <f>4343.7</f>
        <v>4343.7</v>
      </c>
      <c r="E88" s="74"/>
      <c r="F88" s="140" t="s">
        <v>137</v>
      </c>
      <c r="G88" s="239"/>
      <c r="H88" s="239"/>
      <c r="I88" s="141"/>
      <c r="J88" s="242"/>
      <c r="K88" s="242"/>
      <c r="L88" s="242"/>
      <c r="M88" s="242"/>
    </row>
    <row r="89" spans="6:12" ht="9.75" customHeight="1">
      <c r="F89" s="73"/>
      <c r="G89" s="239"/>
      <c r="H89" s="239"/>
      <c r="I89" s="73"/>
      <c r="J89" s="74"/>
      <c r="K89" s="74"/>
      <c r="L89" s="74"/>
    </row>
    <row r="90" spans="2:12" ht="22.5" customHeight="1" hidden="1">
      <c r="B90" s="237" t="s">
        <v>60</v>
      </c>
      <c r="C90" s="238"/>
      <c r="D90" s="86">
        <v>0</v>
      </c>
      <c r="E90" s="56" t="s">
        <v>24</v>
      </c>
      <c r="F90" s="73"/>
      <c r="G90" s="239"/>
      <c r="H90" s="2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39"/>
      <c r="O91" s="239"/>
    </row>
    <row r="92" spans="4:15" ht="15">
      <c r="D92" s="83"/>
      <c r="I92" s="31"/>
      <c r="N92" s="240"/>
      <c r="O92" s="240"/>
    </row>
    <row r="93" spans="14:15" ht="15">
      <c r="N93" s="239"/>
      <c r="O93" s="2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59" t="s">
        <v>139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73" t="s">
        <v>128</v>
      </c>
      <c r="N3" s="270" t="s">
        <v>119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127</v>
      </c>
      <c r="F4" s="253" t="s">
        <v>34</v>
      </c>
      <c r="G4" s="247" t="s">
        <v>116</v>
      </c>
      <c r="H4" s="255" t="s">
        <v>117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140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92.2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118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52"/>
      <c r="H83" s="252"/>
      <c r="I83" s="252"/>
      <c r="J83" s="25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45"/>
      <c r="O84" s="245"/>
    </row>
    <row r="85" spans="3:15" ht="15">
      <c r="C85" s="87">
        <v>42426</v>
      </c>
      <c r="D85" s="31">
        <v>6256.2</v>
      </c>
      <c r="F85" s="124" t="s">
        <v>59</v>
      </c>
      <c r="G85" s="239"/>
      <c r="H85" s="239"/>
      <c r="I85" s="131"/>
      <c r="J85" s="242"/>
      <c r="K85" s="242"/>
      <c r="L85" s="242"/>
      <c r="M85" s="242"/>
      <c r="N85" s="245"/>
      <c r="O85" s="245"/>
    </row>
    <row r="86" spans="3:15" ht="15.75" customHeight="1">
      <c r="C86" s="87">
        <v>42425</v>
      </c>
      <c r="D86" s="31">
        <v>3536.9</v>
      </c>
      <c r="F86" s="73"/>
      <c r="G86" s="239"/>
      <c r="H86" s="239"/>
      <c r="I86" s="131"/>
      <c r="J86" s="246"/>
      <c r="K86" s="246"/>
      <c r="L86" s="246"/>
      <c r="M86" s="246"/>
      <c r="N86" s="245"/>
      <c r="O86" s="245"/>
    </row>
    <row r="87" spans="3:13" ht="15.75" customHeight="1">
      <c r="C87" s="87"/>
      <c r="F87" s="73"/>
      <c r="G87" s="241"/>
      <c r="H87" s="241"/>
      <c r="I87" s="139"/>
      <c r="J87" s="242"/>
      <c r="K87" s="242"/>
      <c r="L87" s="242"/>
      <c r="M87" s="242"/>
    </row>
    <row r="88" spans="2:13" ht="18.75" customHeight="1">
      <c r="B88" s="243" t="s">
        <v>57</v>
      </c>
      <c r="C88" s="244"/>
      <c r="D88" s="148">
        <v>505.3</v>
      </c>
      <c r="E88" s="74"/>
      <c r="F88" s="140" t="s">
        <v>137</v>
      </c>
      <c r="G88" s="239"/>
      <c r="H88" s="239"/>
      <c r="I88" s="141"/>
      <c r="J88" s="242"/>
      <c r="K88" s="242"/>
      <c r="L88" s="242"/>
      <c r="M88" s="242"/>
    </row>
    <row r="89" spans="6:12" ht="9.75" customHeight="1">
      <c r="F89" s="73"/>
      <c r="G89" s="239"/>
      <c r="H89" s="239"/>
      <c r="I89" s="73"/>
      <c r="J89" s="74"/>
      <c r="K89" s="74"/>
      <c r="L89" s="74"/>
    </row>
    <row r="90" spans="2:12" ht="22.5" customHeight="1" hidden="1">
      <c r="B90" s="237" t="s">
        <v>60</v>
      </c>
      <c r="C90" s="238"/>
      <c r="D90" s="86">
        <v>0</v>
      </c>
      <c r="E90" s="56" t="s">
        <v>24</v>
      </c>
      <c r="F90" s="73"/>
      <c r="G90" s="239"/>
      <c r="H90" s="2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39"/>
      <c r="O91" s="239"/>
    </row>
    <row r="92" spans="4:15" ht="15">
      <c r="D92" s="83"/>
      <c r="I92" s="31"/>
      <c r="N92" s="240"/>
      <c r="O92" s="240"/>
    </row>
    <row r="93" spans="14:15" ht="15">
      <c r="N93" s="239"/>
      <c r="O93" s="2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59" t="s">
        <v>114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 t="s">
        <v>135</v>
      </c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73" t="s">
        <v>132</v>
      </c>
      <c r="N3" s="270" t="s">
        <v>66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129</v>
      </c>
      <c r="F4" s="253" t="s">
        <v>34</v>
      </c>
      <c r="G4" s="247" t="s">
        <v>130</v>
      </c>
      <c r="H4" s="255" t="s">
        <v>131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74" t="s">
        <v>133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92.2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134</v>
      </c>
      <c r="L5" s="251"/>
      <c r="M5" s="256"/>
      <c r="N5" s="275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52"/>
      <c r="H83" s="252"/>
      <c r="I83" s="252"/>
      <c r="J83" s="25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45"/>
      <c r="O84" s="245"/>
    </row>
    <row r="85" spans="3:15" ht="15">
      <c r="C85" s="87">
        <v>42397</v>
      </c>
      <c r="D85" s="31">
        <v>8685</v>
      </c>
      <c r="F85" s="124" t="s">
        <v>59</v>
      </c>
      <c r="G85" s="239"/>
      <c r="H85" s="239"/>
      <c r="I85" s="131"/>
      <c r="J85" s="242"/>
      <c r="K85" s="242"/>
      <c r="L85" s="242"/>
      <c r="M85" s="242"/>
      <c r="N85" s="245"/>
      <c r="O85" s="245"/>
    </row>
    <row r="86" spans="3:15" ht="15.75" customHeight="1">
      <c r="C86" s="87">
        <v>42396</v>
      </c>
      <c r="D86" s="31">
        <v>4820.3</v>
      </c>
      <c r="F86" s="73"/>
      <c r="G86" s="239"/>
      <c r="H86" s="239"/>
      <c r="I86" s="131"/>
      <c r="J86" s="246"/>
      <c r="K86" s="246"/>
      <c r="L86" s="246"/>
      <c r="M86" s="246"/>
      <c r="N86" s="245"/>
      <c r="O86" s="245"/>
    </row>
    <row r="87" spans="3:13" ht="15.75" customHeight="1">
      <c r="C87" s="87"/>
      <c r="F87" s="73"/>
      <c r="G87" s="241"/>
      <c r="H87" s="241"/>
      <c r="I87" s="139"/>
      <c r="J87" s="242"/>
      <c r="K87" s="242"/>
      <c r="L87" s="242"/>
      <c r="M87" s="242"/>
    </row>
    <row r="88" spans="2:13" ht="18.75" customHeight="1">
      <c r="B88" s="243" t="s">
        <v>57</v>
      </c>
      <c r="C88" s="244"/>
      <c r="D88" s="148">
        <v>300.92</v>
      </c>
      <c r="E88" s="74"/>
      <c r="F88" s="140"/>
      <c r="G88" s="239"/>
      <c r="H88" s="239"/>
      <c r="I88" s="141"/>
      <c r="J88" s="242"/>
      <c r="K88" s="242"/>
      <c r="L88" s="242"/>
      <c r="M88" s="242"/>
    </row>
    <row r="89" spans="6:12" ht="9.75" customHeight="1">
      <c r="F89" s="73"/>
      <c r="G89" s="239"/>
      <c r="H89" s="239"/>
      <c r="I89" s="73"/>
      <c r="J89" s="74"/>
      <c r="K89" s="74"/>
      <c r="L89" s="74"/>
    </row>
    <row r="90" spans="2:12" ht="22.5" customHeight="1" hidden="1">
      <c r="B90" s="237" t="s">
        <v>60</v>
      </c>
      <c r="C90" s="238"/>
      <c r="D90" s="86">
        <v>0</v>
      </c>
      <c r="E90" s="56" t="s">
        <v>24</v>
      </c>
      <c r="F90" s="73"/>
      <c r="G90" s="239"/>
      <c r="H90" s="2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39"/>
      <c r="O91" s="239"/>
    </row>
    <row r="92" spans="4:15" ht="15">
      <c r="D92" s="83"/>
      <c r="I92" s="31"/>
      <c r="N92" s="240"/>
      <c r="O92" s="240"/>
    </row>
    <row r="93" spans="14:15" ht="15">
      <c r="N93" s="239"/>
      <c r="O93" s="23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59" t="s">
        <v>114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 t="s">
        <v>136</v>
      </c>
      <c r="C3" s="264" t="s">
        <v>0</v>
      </c>
      <c r="D3" s="265" t="s">
        <v>115</v>
      </c>
      <c r="E3" s="34"/>
      <c r="F3" s="266" t="s">
        <v>26</v>
      </c>
      <c r="G3" s="267"/>
      <c r="H3" s="267"/>
      <c r="I3" s="267"/>
      <c r="J3" s="268"/>
      <c r="K3" s="89"/>
      <c r="L3" s="89"/>
      <c r="M3" s="273" t="s">
        <v>107</v>
      </c>
      <c r="N3" s="270" t="s">
        <v>66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104</v>
      </c>
      <c r="F4" s="276" t="s">
        <v>34</v>
      </c>
      <c r="G4" s="247" t="s">
        <v>109</v>
      </c>
      <c r="H4" s="255" t="s">
        <v>110</v>
      </c>
      <c r="I4" s="247" t="s">
        <v>105</v>
      </c>
      <c r="J4" s="255" t="s">
        <v>106</v>
      </c>
      <c r="K4" s="91" t="s">
        <v>65</v>
      </c>
      <c r="L4" s="96" t="s">
        <v>64</v>
      </c>
      <c r="M4" s="255"/>
      <c r="N4" s="274" t="s">
        <v>103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6.5" customHeight="1">
      <c r="A5" s="262"/>
      <c r="B5" s="263"/>
      <c r="C5" s="264"/>
      <c r="D5" s="265"/>
      <c r="E5" s="272"/>
      <c r="F5" s="277"/>
      <c r="G5" s="248"/>
      <c r="H5" s="256"/>
      <c r="I5" s="248"/>
      <c r="J5" s="256"/>
      <c r="K5" s="250" t="s">
        <v>108</v>
      </c>
      <c r="L5" s="251"/>
      <c r="M5" s="256"/>
      <c r="N5" s="275"/>
      <c r="O5" s="248"/>
      <c r="P5" s="249"/>
      <c r="Q5" s="250" t="s">
        <v>126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52"/>
      <c r="H82" s="252"/>
      <c r="I82" s="252"/>
      <c r="J82" s="25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45"/>
      <c r="O83" s="245"/>
    </row>
    <row r="84" spans="3:15" ht="15">
      <c r="C84" s="87">
        <v>42397</v>
      </c>
      <c r="D84" s="31">
        <v>8685</v>
      </c>
      <c r="F84" s="166" t="s">
        <v>59</v>
      </c>
      <c r="G84" s="239"/>
      <c r="H84" s="239"/>
      <c r="I84" s="131"/>
      <c r="J84" s="242"/>
      <c r="K84" s="242"/>
      <c r="L84" s="242"/>
      <c r="M84" s="242"/>
      <c r="N84" s="245"/>
      <c r="O84" s="245"/>
    </row>
    <row r="85" spans="3:15" ht="15.75" customHeight="1">
      <c r="C85" s="87">
        <v>42396</v>
      </c>
      <c r="D85" s="31">
        <v>4820.3</v>
      </c>
      <c r="F85" s="167"/>
      <c r="G85" s="239"/>
      <c r="H85" s="239"/>
      <c r="I85" s="131"/>
      <c r="J85" s="246"/>
      <c r="K85" s="246"/>
      <c r="L85" s="246"/>
      <c r="M85" s="246"/>
      <c r="N85" s="245"/>
      <c r="O85" s="245"/>
    </row>
    <row r="86" spans="3:13" ht="15.75" customHeight="1">
      <c r="C86" s="87"/>
      <c r="F86" s="167"/>
      <c r="G86" s="241"/>
      <c r="H86" s="241"/>
      <c r="I86" s="139"/>
      <c r="J86" s="242"/>
      <c r="K86" s="242"/>
      <c r="L86" s="242"/>
      <c r="M86" s="242"/>
    </row>
    <row r="87" spans="2:13" ht="18.75" customHeight="1">
      <c r="B87" s="243" t="s">
        <v>57</v>
      </c>
      <c r="C87" s="244"/>
      <c r="D87" s="148">
        <v>300.92</v>
      </c>
      <c r="E87" s="74"/>
      <c r="F87" s="168"/>
      <c r="G87" s="239"/>
      <c r="H87" s="239"/>
      <c r="I87" s="141"/>
      <c r="J87" s="242"/>
      <c r="K87" s="242"/>
      <c r="L87" s="242"/>
      <c r="M87" s="242"/>
    </row>
    <row r="88" spans="6:12" ht="9.75" customHeight="1">
      <c r="F88" s="167"/>
      <c r="G88" s="239"/>
      <c r="H88" s="239"/>
      <c r="I88" s="73"/>
      <c r="J88" s="74"/>
      <c r="K88" s="74"/>
      <c r="L88" s="74"/>
    </row>
    <row r="89" spans="2:12" ht="22.5" customHeight="1" hidden="1">
      <c r="B89" s="237" t="s">
        <v>60</v>
      </c>
      <c r="C89" s="238"/>
      <c r="D89" s="86">
        <v>0</v>
      </c>
      <c r="E89" s="56" t="s">
        <v>24</v>
      </c>
      <c r="F89" s="167"/>
      <c r="G89" s="239"/>
      <c r="H89" s="23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39"/>
      <c r="O90" s="239"/>
    </row>
    <row r="91" spans="4:15" ht="15">
      <c r="D91" s="83"/>
      <c r="I91" s="31"/>
      <c r="N91" s="240"/>
      <c r="O91" s="240"/>
    </row>
    <row r="92" spans="14:15" ht="15">
      <c r="N92" s="239"/>
      <c r="O92" s="239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2016-05-05T13:40:00Z</cp:lastPrinted>
  <dcterms:created xsi:type="dcterms:W3CDTF">2003-07-28T11:27:56Z</dcterms:created>
  <dcterms:modified xsi:type="dcterms:W3CDTF">2016-05-05T14:07:31Z</dcterms:modified>
  <cp:category/>
  <cp:version/>
  <cp:contentType/>
  <cp:contentStatus/>
</cp:coreProperties>
</file>